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ammgt2013.sharepoint.com/sites/OperationsDepartment/Shared Documents/BUSINESS DEVELOPMENT/National Grid/1. Long Island/K-12/"/>
    </mc:Choice>
  </mc:AlternateContent>
  <xr:revisionPtr revIDLastSave="0" documentId="8_{BB0F8096-A602-4B78-88D5-583D46EF40B5}" xr6:coauthVersionLast="47" xr6:coauthVersionMax="47" xr10:uidLastSave="{00000000-0000-0000-0000-000000000000}"/>
  <bookViews>
    <workbookView xWindow="28680" yWindow="-120" windowWidth="29040" windowHeight="15720" xr2:uid="{35182E51-DDBF-4817-91B3-E5810597FF81}"/>
  </bookViews>
  <sheets>
    <sheet name="DN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6" i="1"/>
  <c r="C26" i="1"/>
  <c r="B7" i="1"/>
  <c r="C39" i="1" l="1"/>
  <c r="F49" i="1" s="1"/>
  <c r="C19" i="1"/>
  <c r="C27" i="1"/>
  <c r="C29" i="1"/>
  <c r="C35" i="1"/>
  <c r="B40" i="1" l="1"/>
  <c r="C49" i="1"/>
  <c r="D49" i="1"/>
  <c r="E49" i="1"/>
  <c r="C30" i="1"/>
  <c r="B31" i="1"/>
  <c r="C37" i="1"/>
  <c r="C44" i="1" l="1"/>
  <c r="C45" i="1" s="1"/>
  <c r="F48" i="1" l="1"/>
  <c r="F50" i="1" s="1"/>
  <c r="E48" i="1"/>
  <c r="E50" i="1" s="1"/>
  <c r="D48" i="1"/>
  <c r="D50" i="1" s="1"/>
  <c r="C48" i="1"/>
  <c r="C50" i="1" s="1"/>
</calcChain>
</file>

<file path=xl/sharedStrings.xml><?xml version="1.0" encoding="utf-8"?>
<sst xmlns="http://schemas.openxmlformats.org/spreadsheetml/2006/main" count="51" uniqueCount="45">
  <si>
    <t>2024 DNY Project Estimate Calculator</t>
  </si>
  <si>
    <t xml:space="preserve">                        Replace the text in blue with your district's information to get your savings estimate</t>
  </si>
  <si>
    <t>Do your boilers fire primarily on National Grid natural gas?</t>
  </si>
  <si>
    <t>Yes</t>
  </si>
  <si>
    <t>Have you received rebates from National Grid for steam trap repairs in the last 6 years</t>
  </si>
  <si>
    <t>No</t>
  </si>
  <si>
    <t>Typical Quantities:</t>
  </si>
  <si>
    <t>If this project is for a K-12 school district, how many of the following facilities are in the district, heated by steam?</t>
  </si>
  <si>
    <t>T</t>
  </si>
  <si>
    <t>M</t>
  </si>
  <si>
    <t>High Schools</t>
  </si>
  <si>
    <t>Middle Schools</t>
  </si>
  <si>
    <t>Elementary Schools</t>
  </si>
  <si>
    <t>Administration Buildings</t>
  </si>
  <si>
    <t>If the project is for a K-12 school district, estimated quantities are calculated below.  For other facilities with perimeter heating, overwrite the trap quantities below with your best estimates.</t>
  </si>
  <si>
    <t>Average Annual Losses (Therms)</t>
  </si>
  <si>
    <t>Repair Cost</t>
  </si>
  <si>
    <r>
      <rPr>
        <b/>
        <sz val="14"/>
        <color theme="1"/>
        <rFont val="Calibri"/>
        <family val="2"/>
        <scheme val="minor"/>
      </rPr>
      <t>Estimated QTY of Thermostatic Steam Traps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(Smaller traps typically found on Radiators, FinTubes, Univents, Unit Heaters, etc.)</t>
    </r>
  </si>
  <si>
    <r>
      <rPr>
        <b/>
        <sz val="14"/>
        <color theme="1"/>
        <rFont val="Calibri"/>
        <family val="2"/>
        <scheme val="minor"/>
      </rPr>
      <t>Estimated QTY of Mechanical Steam Traps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F&amp;T and inverted bucket traps, typically found in boiler room and crawl spaces)</t>
    </r>
  </si>
  <si>
    <t>Total Steam Traps</t>
  </si>
  <si>
    <t>Cost of Fuel</t>
  </si>
  <si>
    <t>/Therm</t>
  </si>
  <si>
    <t>Assumed Failures</t>
  </si>
  <si>
    <t>Option 1 - Thermostatic Steam Traps Repaired</t>
  </si>
  <si>
    <t>Estimates:</t>
  </si>
  <si>
    <t>Project Value</t>
  </si>
  <si>
    <t>National Grid Incentives</t>
  </si>
  <si>
    <t>Project Cost to Client</t>
  </si>
  <si>
    <t>Annual Fuel Savings (therms)*</t>
  </si>
  <si>
    <t>Annual Cost Savings (USD)</t>
  </si>
  <si>
    <t>Option 2 - Total Steam Trap Population Repaired</t>
  </si>
  <si>
    <t>Option 2 - Financing</t>
  </si>
  <si>
    <t>0% or low interest finacing is offered through National Grid as an additional benefit to their customers.</t>
  </si>
  <si>
    <t>Up-front cost to client</t>
  </si>
  <si>
    <t>Financed Project Costs</t>
  </si>
  <si>
    <t>Loan Term (months)</t>
  </si>
  <si>
    <t>Annual Interest Rate</t>
  </si>
  <si>
    <t>Monthly Payment</t>
  </si>
  <si>
    <t>Monthly Fuel Savings</t>
  </si>
  <si>
    <t>Monthly Positive Cash Flow</t>
  </si>
  <si>
    <t>Notes</t>
  </si>
  <si>
    <t>This calculator is intended to convey estimates for downstate new york projects completed in 2024 only.  If National Grid incentives are adjusted, this sheet will become obsolete.</t>
  </si>
  <si>
    <t>Steam losses vary by system pressure and steam trap type.  Savings are calculated based in part on assumptions and typical losses for traps found on 15psig systems.</t>
  </si>
  <si>
    <t>F&amp;T costs vary by type.  A typical average cost is used to calculate project costs.</t>
  </si>
  <si>
    <t>Financing subsidy maxes out at $75,000.  Financed amount can't exceed incentive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</si>
</sst>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000000"/>
      <name val="Calibri"/>
      <scheme val="minor"/>
    </font>
    <font>
      <b/>
      <i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9"/>
      </left>
      <right style="thin">
        <color indexed="64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 style="thin">
        <color indexed="64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 style="thick">
        <color theme="9"/>
      </right>
      <top style="thick">
        <color theme="9"/>
      </top>
      <bottom style="thick">
        <color theme="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10" fontId="6" fillId="0" borderId="1" xfId="2" applyNumberFormat="1" applyFont="1" applyBorder="1" applyAlignment="1">
      <alignment horizontal="center"/>
    </xf>
    <xf numFmtId="164" fontId="6" fillId="0" borderId="1" xfId="0" applyNumberFormat="1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/>
    <xf numFmtId="0" fontId="5" fillId="0" borderId="2" xfId="0" applyFont="1" applyBorder="1"/>
    <xf numFmtId="0" fontId="9" fillId="0" borderId="5" xfId="0" applyFont="1" applyBorder="1"/>
    <xf numFmtId="0" fontId="6" fillId="0" borderId="0" xfId="0" applyFont="1" applyAlignment="1">
      <alignment horizontal="center"/>
    </xf>
    <xf numFmtId="0" fontId="6" fillId="0" borderId="6" xfId="0" applyFont="1" applyBorder="1"/>
    <xf numFmtId="0" fontId="6" fillId="0" borderId="10" xfId="0" applyFont="1" applyBorder="1"/>
    <xf numFmtId="165" fontId="6" fillId="0" borderId="11" xfId="1" applyNumberFormat="1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165" fontId="6" fillId="0" borderId="14" xfId="1" applyNumberFormat="1" applyFont="1" applyBorder="1" applyAlignment="1">
      <alignment horizontal="center"/>
    </xf>
    <xf numFmtId="0" fontId="6" fillId="0" borderId="15" xfId="0" applyFont="1" applyBorder="1"/>
    <xf numFmtId="0" fontId="10" fillId="0" borderId="13" xfId="0" applyFont="1" applyBorder="1"/>
    <xf numFmtId="165" fontId="10" fillId="0" borderId="14" xfId="1" applyNumberFormat="1" applyFont="1" applyBorder="1" applyAlignment="1">
      <alignment horizontal="center"/>
    </xf>
    <xf numFmtId="3" fontId="11" fillId="0" borderId="14" xfId="1" applyNumberFormat="1" applyFont="1" applyBorder="1" applyAlignment="1">
      <alignment horizontal="center"/>
    </xf>
    <xf numFmtId="0" fontId="10" fillId="0" borderId="15" xfId="0" applyFont="1" applyBorder="1"/>
    <xf numFmtId="0" fontId="10" fillId="0" borderId="7" xfId="0" applyFont="1" applyBorder="1"/>
    <xf numFmtId="165" fontId="11" fillId="0" borderId="8" xfId="1" applyNumberFormat="1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wrapText="1"/>
    </xf>
    <xf numFmtId="0" fontId="6" fillId="0" borderId="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10" fontId="6" fillId="0" borderId="17" xfId="2" applyNumberFormat="1" applyFont="1" applyBorder="1" applyAlignment="1">
      <alignment horizontal="center"/>
    </xf>
    <xf numFmtId="164" fontId="6" fillId="0" borderId="17" xfId="0" applyNumberFormat="1" applyFont="1" applyBorder="1"/>
    <xf numFmtId="0" fontId="12" fillId="0" borderId="5" xfId="0" applyFont="1" applyBorder="1"/>
    <xf numFmtId="44" fontId="10" fillId="0" borderId="0" xfId="0" applyNumberFormat="1" applyFont="1"/>
    <xf numFmtId="0" fontId="4" fillId="0" borderId="0" xfId="0" applyFont="1" applyAlignment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/>
    <xf numFmtId="165" fontId="13" fillId="0" borderId="1" xfId="1" applyNumberFormat="1" applyFont="1" applyBorder="1" applyAlignment="1" applyProtection="1">
      <alignment horizontal="center"/>
      <protection locked="0"/>
    </xf>
    <xf numFmtId="9" fontId="13" fillId="0" borderId="1" xfId="0" applyNumberFormat="1" applyFont="1" applyBorder="1" applyAlignment="1" applyProtection="1">
      <alignment horizontal="center"/>
      <protection locked="0"/>
    </xf>
    <xf numFmtId="165" fontId="11" fillId="0" borderId="0" xfId="1" applyNumberFormat="1" applyFont="1" applyBorder="1" applyAlignment="1">
      <alignment horizontal="center"/>
    </xf>
    <xf numFmtId="0" fontId="15" fillId="0" borderId="0" xfId="0" applyFont="1"/>
    <xf numFmtId="165" fontId="6" fillId="0" borderId="19" xfId="1" applyNumberFormat="1" applyFont="1" applyBorder="1" applyAlignment="1">
      <alignment horizontal="center"/>
    </xf>
    <xf numFmtId="3" fontId="11" fillId="0" borderId="11" xfId="1" applyNumberFormat="1" applyFont="1" applyBorder="1" applyAlignment="1">
      <alignment horizontal="center"/>
    </xf>
    <xf numFmtId="165" fontId="10" fillId="0" borderId="20" xfId="1" applyNumberFormat="1" applyFont="1" applyBorder="1" applyAlignment="1">
      <alignment horizontal="center"/>
    </xf>
    <xf numFmtId="0" fontId="10" fillId="0" borderId="21" xfId="0" applyFont="1" applyBorder="1"/>
    <xf numFmtId="164" fontId="6" fillId="0" borderId="18" xfId="0" applyNumberFormat="1" applyFont="1" applyBorder="1"/>
    <xf numFmtId="164" fontId="6" fillId="0" borderId="22" xfId="0" applyNumberFormat="1" applyFont="1" applyBorder="1"/>
    <xf numFmtId="164" fontId="10" fillId="0" borderId="23" xfId="0" applyNumberFormat="1" applyFont="1" applyBorder="1"/>
    <xf numFmtId="164" fontId="10" fillId="0" borderId="24" xfId="0" applyNumberFormat="1" applyFont="1" applyBorder="1"/>
    <xf numFmtId="164" fontId="10" fillId="0" borderId="25" xfId="0" applyNumberFormat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165" fontId="6" fillId="0" borderId="11" xfId="0" applyNumberFormat="1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44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4" fontId="21" fillId="0" borderId="0" xfId="1" applyFont="1" applyAlignment="1">
      <alignment horizontal="center"/>
    </xf>
    <xf numFmtId="0" fontId="22" fillId="0" borderId="0" xfId="0" applyFont="1"/>
    <xf numFmtId="0" fontId="23" fillId="0" borderId="0" xfId="0" applyFont="1"/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/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/>
        <strike val="0"/>
        <color theme="9"/>
      </font>
    </dxf>
    <dxf>
      <font>
        <b/>
        <i/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1000125</xdr:colOff>
      <xdr:row>36</xdr:row>
      <xdr:rowOff>38100</xdr:rowOff>
    </xdr:from>
    <xdr:to>
      <xdr:col>3</xdr:col>
      <xdr:colOff>523875</xdr:colOff>
      <xdr:row>45</xdr:row>
      <xdr:rowOff>28575</xdr:rowOff>
    </xdr:to>
    <xdr:sp macro="" textlink="">
      <xdr:nvSpPr>
        <xdr:cNvPr id="3" name="Arrow: Curved Left 2">
          <a:extLst>
            <a:ext uri="{FF2B5EF4-FFF2-40B4-BE49-F238E27FC236}">
              <a16:creationId xmlns:a16="http://schemas.microsoft.com/office/drawing/2014/main" id="{37D5BC1A-95E1-D49C-50EA-A021847B976F}"/>
            </a:ext>
          </a:extLst>
        </xdr:cNvPr>
        <xdr:cNvSpPr/>
      </xdr:nvSpPr>
      <xdr:spPr>
        <a:xfrm>
          <a:off x="5410200" y="9477375"/>
          <a:ext cx="561975" cy="2105025"/>
        </a:xfrm>
        <a:prstGeom prst="curvedLeftArrow">
          <a:avLst/>
        </a:prstGeom>
        <a:solidFill>
          <a:schemeClr val="accent6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161925</xdr:colOff>
      <xdr:row>0</xdr:row>
      <xdr:rowOff>1990725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F9FAD5-3C1E-F331-8C52-5F51651EF095}"/>
            </a:ext>
            <a:ext uri="{147F2762-F138-4A5C-976F-8EAC2B608ADB}">
              <a16:predDERef xmlns:a16="http://schemas.microsoft.com/office/drawing/2014/main" pred="{37D5BC1A-95E1-D49C-50EA-A021847B9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000" cy="199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578B-D5E3-4B7C-9ECE-269315A0C6C0}">
  <dimension ref="B1:S56"/>
  <sheetViews>
    <sheetView showGridLines="0" tabSelected="1" workbookViewId="0">
      <selection activeCell="I3" sqref="I3"/>
    </sheetView>
  </sheetViews>
  <sheetFormatPr defaultRowHeight="15"/>
  <cols>
    <col min="2" max="2" width="66.140625" customWidth="1"/>
    <col min="3" max="5" width="15.5703125" customWidth="1"/>
    <col min="6" max="6" width="10.28515625" bestFit="1" customWidth="1"/>
    <col min="7" max="7" width="9.140625" style="67"/>
    <col min="8" max="8" width="9.140625" style="74"/>
    <col min="9" max="9" width="27.5703125" style="74" customWidth="1"/>
    <col min="10" max="10" width="17" style="74" customWidth="1"/>
    <col min="11" max="11" width="9.140625" style="74"/>
    <col min="12" max="12" width="9.140625" style="67"/>
  </cols>
  <sheetData>
    <row r="1" spans="2:19" ht="159.75" customHeight="1"/>
    <row r="2" spans="2:19" s="9" customFormat="1" ht="18.75">
      <c r="B2" s="80" t="s">
        <v>0</v>
      </c>
      <c r="G2" s="68"/>
      <c r="H2" s="78"/>
      <c r="I2" s="78"/>
      <c r="J2" s="78"/>
      <c r="K2" s="78"/>
      <c r="L2" s="68"/>
    </row>
    <row r="3" spans="2:19" s="9" customFormat="1" ht="25.5" customHeight="1">
      <c r="B3" s="81" t="s">
        <v>1</v>
      </c>
      <c r="G3" s="68"/>
      <c r="H3" s="78"/>
      <c r="I3" s="78"/>
      <c r="J3" s="78"/>
      <c r="K3" s="78"/>
      <c r="L3" s="68"/>
    </row>
    <row r="4" spans="2:19" ht="28.5" customHeight="1">
      <c r="B4" s="63" t="s">
        <v>2</v>
      </c>
      <c r="C4" s="43" t="s">
        <v>3</v>
      </c>
    </row>
    <row r="5" spans="2:19" ht="37.5">
      <c r="B5" s="63" t="s">
        <v>4</v>
      </c>
      <c r="C5" s="43" t="s">
        <v>5</v>
      </c>
      <c r="L5" s="74"/>
      <c r="M5" s="74"/>
      <c r="N5" s="74"/>
      <c r="O5" s="74"/>
      <c r="P5" s="74"/>
      <c r="Q5" s="74"/>
      <c r="R5" s="82"/>
      <c r="S5" s="82"/>
    </row>
    <row r="6" spans="2:19">
      <c r="B6" s="1"/>
      <c r="C6" s="60"/>
      <c r="L6" s="74"/>
      <c r="M6" s="74"/>
      <c r="N6" s="74"/>
      <c r="O6" s="74"/>
      <c r="P6" s="74"/>
      <c r="Q6" s="74"/>
      <c r="R6" s="82"/>
      <c r="S6" s="82"/>
    </row>
    <row r="7" spans="2:19">
      <c r="B7" s="6" t="str">
        <f>IF(AND(C4="YES",C5="No"), "This project should qualify for the program", "Project may not qualify, discuss further with your SMI representative")</f>
        <v>This project should qualify for the program</v>
      </c>
      <c r="C7" s="61"/>
      <c r="I7" s="83" t="s">
        <v>6</v>
      </c>
      <c r="J7" s="83"/>
      <c r="L7" s="74"/>
      <c r="M7" s="74"/>
      <c r="N7" s="74"/>
      <c r="O7" s="74"/>
      <c r="P7" s="74"/>
      <c r="Q7" s="74"/>
      <c r="R7" s="82"/>
      <c r="S7" s="82"/>
    </row>
    <row r="8" spans="2:19">
      <c r="B8" s="6"/>
      <c r="C8" s="61"/>
      <c r="I8" s="75"/>
      <c r="J8" s="75"/>
      <c r="L8" s="74"/>
      <c r="M8" s="74"/>
      <c r="N8" s="74"/>
      <c r="O8" s="74"/>
      <c r="P8" s="74"/>
      <c r="Q8" s="74"/>
      <c r="R8" s="82"/>
      <c r="S8" s="82"/>
    </row>
    <row r="9" spans="2:19" ht="37.5" customHeight="1">
      <c r="B9" s="86" t="s">
        <v>7</v>
      </c>
      <c r="C9" s="86"/>
      <c r="D9" s="86"/>
      <c r="E9" s="86"/>
      <c r="F9" s="86"/>
      <c r="I9" s="75" t="s">
        <v>8</v>
      </c>
      <c r="J9" s="75" t="s">
        <v>9</v>
      </c>
      <c r="L9" s="74"/>
      <c r="M9" s="74"/>
      <c r="N9" s="74"/>
      <c r="O9" s="74"/>
      <c r="P9" s="74"/>
      <c r="Q9" s="74"/>
      <c r="R9" s="82"/>
      <c r="S9" s="82"/>
    </row>
    <row r="10" spans="2:19" ht="18.75">
      <c r="B10" s="64" t="s">
        <v>10</v>
      </c>
      <c r="C10" s="43">
        <v>1</v>
      </c>
      <c r="I10" s="75">
        <v>200</v>
      </c>
      <c r="J10" s="75">
        <v>50</v>
      </c>
      <c r="L10" s="74"/>
      <c r="M10" s="74"/>
      <c r="N10" s="74"/>
      <c r="O10" s="74"/>
      <c r="P10" s="74"/>
      <c r="Q10" s="74"/>
      <c r="R10" s="82"/>
      <c r="S10" s="82"/>
    </row>
    <row r="11" spans="2:19" ht="18.75">
      <c r="B11" s="64" t="s">
        <v>11</v>
      </c>
      <c r="C11" s="43">
        <v>1</v>
      </c>
      <c r="I11" s="75">
        <v>140</v>
      </c>
      <c r="J11" s="75">
        <v>35</v>
      </c>
      <c r="L11" s="74"/>
      <c r="M11" s="74"/>
      <c r="N11" s="74"/>
      <c r="O11" s="74"/>
      <c r="P11" s="74"/>
      <c r="Q11" s="74"/>
      <c r="R11" s="82"/>
      <c r="S11" s="82"/>
    </row>
    <row r="12" spans="2:19" ht="18.75">
      <c r="B12" s="64" t="s">
        <v>12</v>
      </c>
      <c r="C12" s="43">
        <v>4</v>
      </c>
      <c r="I12" s="75">
        <v>80</v>
      </c>
      <c r="J12" s="75">
        <v>20</v>
      </c>
      <c r="L12" s="74"/>
      <c r="M12" s="74"/>
      <c r="N12" s="74"/>
      <c r="O12" s="74"/>
      <c r="P12" s="74"/>
      <c r="Q12" s="74"/>
      <c r="R12" s="82"/>
      <c r="S12" s="82"/>
    </row>
    <row r="13" spans="2:19" ht="18.75">
      <c r="B13" s="64" t="s">
        <v>13</v>
      </c>
      <c r="C13" s="43">
        <v>1</v>
      </c>
      <c r="I13" s="75">
        <v>40</v>
      </c>
      <c r="J13" s="75">
        <v>10</v>
      </c>
      <c r="L13" s="74"/>
      <c r="M13" s="74"/>
      <c r="N13" s="74"/>
      <c r="O13" s="74"/>
      <c r="P13" s="74"/>
      <c r="Q13" s="74"/>
      <c r="R13" s="82"/>
      <c r="S13" s="82"/>
    </row>
    <row r="14" spans="2:19">
      <c r="B14" s="4"/>
      <c r="C14" s="3"/>
      <c r="L14" s="74"/>
      <c r="M14" s="74"/>
      <c r="N14" s="74"/>
      <c r="O14" s="74"/>
      <c r="P14" s="74"/>
      <c r="Q14" s="74"/>
      <c r="R14" s="82"/>
      <c r="S14" s="82"/>
    </row>
    <row r="15" spans="2:19" ht="35.25" customHeight="1">
      <c r="B15" s="85" t="s">
        <v>14</v>
      </c>
      <c r="C15" s="85"/>
      <c r="D15" s="85"/>
      <c r="E15" s="85"/>
      <c r="F15" s="85"/>
      <c r="L15" s="74"/>
      <c r="M15" s="74"/>
      <c r="N15" s="74"/>
      <c r="O15" s="74"/>
      <c r="P15" s="74"/>
      <c r="Q15" s="74"/>
      <c r="R15" s="82"/>
      <c r="S15" s="82"/>
    </row>
    <row r="16" spans="2:19" ht="15" customHeight="1">
      <c r="B16" s="5"/>
      <c r="C16" s="5"/>
      <c r="D16" s="5"/>
      <c r="I16" s="76" t="s">
        <v>15</v>
      </c>
      <c r="J16" s="75" t="s">
        <v>16</v>
      </c>
      <c r="L16" s="74"/>
      <c r="M16" s="74"/>
      <c r="N16" s="74"/>
      <c r="O16" s="74"/>
      <c r="P16" s="74"/>
      <c r="Q16" s="74"/>
      <c r="R16" s="82"/>
      <c r="S16" s="82"/>
    </row>
    <row r="17" spans="2:19" ht="45.75">
      <c r="B17" s="1" t="s">
        <v>17</v>
      </c>
      <c r="C17" s="43">
        <v>700</v>
      </c>
      <c r="I17" s="75">
        <v>330</v>
      </c>
      <c r="J17" s="77">
        <v>175</v>
      </c>
      <c r="L17" s="74"/>
      <c r="M17" s="74"/>
      <c r="N17" s="74"/>
      <c r="O17" s="74"/>
      <c r="P17" s="74"/>
      <c r="Q17" s="74"/>
      <c r="R17" s="82"/>
      <c r="S17" s="82"/>
    </row>
    <row r="18" spans="2:19" ht="45.75">
      <c r="B18" s="1" t="s">
        <v>18</v>
      </c>
      <c r="C18" s="43">
        <v>175</v>
      </c>
      <c r="I18" s="75">
        <v>700</v>
      </c>
      <c r="J18" s="77">
        <v>650</v>
      </c>
      <c r="L18" s="74"/>
      <c r="M18" s="74"/>
      <c r="N18" s="74"/>
      <c r="O18" s="74"/>
      <c r="P18" s="74"/>
      <c r="Q18" s="74"/>
      <c r="R18" s="82"/>
      <c r="S18" s="82"/>
    </row>
    <row r="19" spans="2:19" ht="18.75">
      <c r="B19" s="45" t="s">
        <v>19</v>
      </c>
      <c r="C19" s="44">
        <f>SUM(C17:C18)</f>
        <v>875</v>
      </c>
      <c r="L19" s="74"/>
      <c r="M19" s="74"/>
      <c r="N19" s="74"/>
      <c r="O19" s="74"/>
      <c r="P19" s="74"/>
      <c r="Q19" s="74"/>
      <c r="R19" s="82"/>
      <c r="S19" s="82"/>
    </row>
    <row r="20" spans="2:19">
      <c r="B20" s="1"/>
      <c r="C20" s="42"/>
      <c r="L20" s="74"/>
      <c r="M20" s="74"/>
      <c r="N20" s="74"/>
      <c r="O20" s="74"/>
      <c r="P20" s="74"/>
      <c r="Q20" s="74"/>
      <c r="R20" s="82"/>
      <c r="S20" s="82"/>
    </row>
    <row r="21" spans="2:19" ht="18.75">
      <c r="B21" s="62" t="s">
        <v>20</v>
      </c>
      <c r="C21" s="47">
        <v>1</v>
      </c>
      <c r="D21" s="2" t="s">
        <v>21</v>
      </c>
      <c r="L21" s="74"/>
      <c r="M21" s="74"/>
      <c r="N21" s="74"/>
      <c r="O21" s="74"/>
      <c r="P21" s="74"/>
      <c r="Q21" s="74"/>
      <c r="R21" s="82"/>
      <c r="S21" s="82"/>
    </row>
    <row r="22" spans="2:19" ht="18.75">
      <c r="B22" s="62" t="s">
        <v>22</v>
      </c>
      <c r="C22" s="48">
        <v>0.2</v>
      </c>
      <c r="L22" s="74"/>
      <c r="M22" s="74"/>
      <c r="N22" s="74"/>
      <c r="O22" s="74"/>
      <c r="P22" s="74"/>
      <c r="Q22" s="74"/>
      <c r="R22" s="82"/>
      <c r="S22" s="82"/>
    </row>
    <row r="23" spans="2:19">
      <c r="L23" s="74"/>
      <c r="M23" s="74"/>
      <c r="N23" s="74"/>
      <c r="O23" s="74"/>
      <c r="P23" s="74"/>
      <c r="Q23" s="74"/>
      <c r="R23" s="82"/>
      <c r="S23" s="82"/>
    </row>
    <row r="24" spans="2:19" ht="18.75">
      <c r="B24" s="17" t="s">
        <v>23</v>
      </c>
      <c r="C24" s="7"/>
      <c r="D24" s="8"/>
      <c r="L24" s="74"/>
      <c r="M24" s="74"/>
      <c r="N24" s="74"/>
      <c r="O24" s="74"/>
      <c r="P24" s="74"/>
      <c r="Q24" s="74"/>
      <c r="R24" s="82"/>
      <c r="S24" s="82"/>
    </row>
    <row r="25" spans="2:19" ht="18.75">
      <c r="B25" s="18" t="s">
        <v>24</v>
      </c>
      <c r="C25" s="9"/>
      <c r="D25" s="20"/>
      <c r="L25" s="74"/>
      <c r="M25" s="74"/>
      <c r="N25" s="74"/>
      <c r="O25" s="74"/>
      <c r="P25" s="74"/>
      <c r="Q25" s="74"/>
      <c r="R25" s="82"/>
      <c r="S25" s="82"/>
    </row>
    <row r="26" spans="2:19" ht="18.75">
      <c r="B26" s="21" t="s">
        <v>25</v>
      </c>
      <c r="C26" s="22">
        <f>C17*175</f>
        <v>122500</v>
      </c>
      <c r="D26" s="23"/>
      <c r="L26" s="74"/>
      <c r="M26" s="74"/>
      <c r="N26" s="74"/>
      <c r="O26" s="74"/>
      <c r="P26" s="74"/>
      <c r="Q26" s="74"/>
      <c r="R26" s="82"/>
      <c r="S26" s="82"/>
    </row>
    <row r="27" spans="2:19" ht="18.75">
      <c r="B27" s="24" t="s">
        <v>26</v>
      </c>
      <c r="C27" s="51">
        <f>C26</f>
        <v>122500</v>
      </c>
      <c r="D27" s="26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2:19" ht="18.75">
      <c r="B28" s="27" t="s">
        <v>27</v>
      </c>
      <c r="C28" s="53">
        <v>1E-3</v>
      </c>
      <c r="D28" s="26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2:19" ht="18.75">
      <c r="B29" s="27" t="s">
        <v>28</v>
      </c>
      <c r="C29" s="52">
        <f>I17*C17*C22/0.8</f>
        <v>57750</v>
      </c>
      <c r="D29" s="30"/>
    </row>
    <row r="30" spans="2:19" ht="18.75">
      <c r="B30" s="31" t="s">
        <v>29</v>
      </c>
      <c r="C30" s="32">
        <f>C29*C21</f>
        <v>57750</v>
      </c>
      <c r="D30" s="33"/>
    </row>
    <row r="31" spans="2:19" ht="18.75">
      <c r="B31" s="50" t="str">
        <f>CONCATENATE("*Equivalent to approximately ",ROUND((C29/(1050/100000)*0.12096/2000),0)," tons of carbon emissions reduction or removing ",ROUND((C29/(1050/100000)*0.12096/2000)/5,0)," passengers cars from the road anually.")</f>
        <v>*Equivalent to approximately 333 tons of carbon emissions reduction or removing 67 passengers cars from the road anually.</v>
      </c>
      <c r="C31" s="49"/>
      <c r="D31" s="9"/>
    </row>
    <row r="32" spans="2:19">
      <c r="C32" s="14"/>
    </row>
    <row r="33" spans="2:6" ht="18.75">
      <c r="B33" s="17" t="s">
        <v>30</v>
      </c>
      <c r="C33" s="15"/>
      <c r="D33" s="8"/>
    </row>
    <row r="34" spans="2:6" ht="18.75">
      <c r="B34" s="18" t="s">
        <v>24</v>
      </c>
      <c r="C34" s="19"/>
      <c r="D34" s="20"/>
    </row>
    <row r="35" spans="2:6" ht="18.75">
      <c r="B35" s="21" t="s">
        <v>25</v>
      </c>
      <c r="C35" s="22">
        <f>C17*J17+C18*J18</f>
        <v>236250</v>
      </c>
      <c r="D35" s="23"/>
    </row>
    <row r="36" spans="2:6" ht="18.75">
      <c r="B36" s="24" t="s">
        <v>26</v>
      </c>
      <c r="C36" s="25">
        <f>C19*175</f>
        <v>153125</v>
      </c>
      <c r="D36" s="26"/>
    </row>
    <row r="37" spans="2:6" ht="18.75">
      <c r="B37" s="27" t="s">
        <v>27</v>
      </c>
      <c r="C37" s="28">
        <f>C35-C36</f>
        <v>83125</v>
      </c>
      <c r="D37" s="26"/>
    </row>
    <row r="38" spans="2:6" ht="18.75">
      <c r="B38" s="27" t="s">
        <v>28</v>
      </c>
      <c r="C38" s="29">
        <f>(I17*C17*C22+C18*I18*C22)/0.85</f>
        <v>83176.470588235301</v>
      </c>
      <c r="D38" s="30"/>
    </row>
    <row r="39" spans="2:6" ht="18.75">
      <c r="B39" s="31" t="s">
        <v>29</v>
      </c>
      <c r="C39" s="32">
        <f>C38*C21</f>
        <v>83176.470588235301</v>
      </c>
      <c r="D39" s="33"/>
    </row>
    <row r="40" spans="2:6" ht="18.75">
      <c r="B40" s="50" t="str">
        <f>CONCATENATE("*Equivalent to approximately ",ROUND((C38/(1050/100000)*0.12096/2000),0)," tons of carbon emissions reduction or removing ",ROUND((C38/(1050/100000)*0.12096/2000)/5,0)," passengers cars from the road anually.")</f>
        <v>*Equivalent to approximately 479 tons of carbon emissions reduction or removing 96 passengers cars from the road anually.</v>
      </c>
      <c r="C40" s="49"/>
      <c r="D40" s="9"/>
    </row>
    <row r="41" spans="2:6">
      <c r="B41" s="6"/>
    </row>
    <row r="42" spans="2:6" ht="18.75">
      <c r="B42" s="17" t="s">
        <v>31</v>
      </c>
      <c r="C42" s="7"/>
      <c r="D42" s="7"/>
      <c r="E42" s="7"/>
      <c r="F42" s="8"/>
    </row>
    <row r="43" spans="2:6" ht="18.75">
      <c r="B43" s="40" t="s">
        <v>32</v>
      </c>
      <c r="F43" s="71"/>
    </row>
    <row r="44" spans="2:6" ht="18.75">
      <c r="B44" s="34" t="s">
        <v>33</v>
      </c>
      <c r="C44" s="70">
        <f>IF(C37&gt;75000,C37-75000,0.001)</f>
        <v>8125</v>
      </c>
      <c r="D44" s="16"/>
      <c r="E44" s="16"/>
      <c r="F44" s="72"/>
    </row>
    <row r="45" spans="2:6" ht="18.75">
      <c r="B45" s="35" t="s">
        <v>34</v>
      </c>
      <c r="C45" s="41">
        <f>C37-C44</f>
        <v>75000</v>
      </c>
      <c r="F45" s="71"/>
    </row>
    <row r="46" spans="2:6" ht="18.75">
      <c r="B46" s="36" t="s">
        <v>35</v>
      </c>
      <c r="C46" s="10">
        <v>24</v>
      </c>
      <c r="D46" s="10">
        <v>36</v>
      </c>
      <c r="E46" s="10">
        <v>48</v>
      </c>
      <c r="F46" s="37">
        <v>60</v>
      </c>
    </row>
    <row r="47" spans="2:6" ht="18.75">
      <c r="B47" s="36" t="s">
        <v>36</v>
      </c>
      <c r="C47" s="11">
        <v>0</v>
      </c>
      <c r="D47" s="11">
        <v>0</v>
      </c>
      <c r="E47" s="12">
        <v>1.9900000000000001E-2</v>
      </c>
      <c r="F47" s="38">
        <v>1.9900000000000001E-2</v>
      </c>
    </row>
    <row r="48" spans="2:6" ht="18.75">
      <c r="B48" s="36" t="s">
        <v>37</v>
      </c>
      <c r="C48" s="13">
        <f>PMT(C47/12,C46,-$C$45)</f>
        <v>3125</v>
      </c>
      <c r="D48" s="13">
        <f>PMT(D47/12,D46,-$C$45)</f>
        <v>2083.3333333333335</v>
      </c>
      <c r="E48" s="13">
        <f>PMT(E47/12,E46,-$C$45)</f>
        <v>1626.8069657452043</v>
      </c>
      <c r="F48" s="39">
        <f>PMT(F47/12,F46,-$C$45)</f>
        <v>1314.2539242887385</v>
      </c>
    </row>
    <row r="49" spans="2:12" ht="18.75">
      <c r="B49" s="36" t="s">
        <v>38</v>
      </c>
      <c r="C49" s="55">
        <f>$C$39/12</f>
        <v>6931.3725490196084</v>
      </c>
      <c r="D49" s="55">
        <f>$C$39/12</f>
        <v>6931.3725490196084</v>
      </c>
      <c r="E49" s="55">
        <f>$C$39/12</f>
        <v>6931.3725490196084</v>
      </c>
      <c r="F49" s="56">
        <f>$C$39/12</f>
        <v>6931.3725490196084</v>
      </c>
    </row>
    <row r="50" spans="2:12" ht="18.75">
      <c r="B50" s="54" t="s">
        <v>39</v>
      </c>
      <c r="C50" s="57">
        <f>C49-C48</f>
        <v>3806.3725490196084</v>
      </c>
      <c r="D50" s="58">
        <f>D49-D48</f>
        <v>4848.0392156862745</v>
      </c>
      <c r="E50" s="58">
        <f>E49-E48</f>
        <v>5304.5655832744042</v>
      </c>
      <c r="F50" s="59">
        <f>F49-F48</f>
        <v>5617.1186247308697</v>
      </c>
    </row>
    <row r="51" spans="2:12">
      <c r="C51" s="73"/>
    </row>
    <row r="52" spans="2:12" s="46" customFormat="1" ht="18.75">
      <c r="B52" s="66" t="s">
        <v>40</v>
      </c>
      <c r="G52" s="69"/>
      <c r="H52" s="79"/>
      <c r="I52" s="79"/>
      <c r="J52" s="79"/>
      <c r="K52" s="79"/>
      <c r="L52" s="69"/>
    </row>
    <row r="53" spans="2:12" s="46" customFormat="1" ht="35.25" customHeight="1">
      <c r="B53" s="84" t="s">
        <v>41</v>
      </c>
      <c r="C53" s="84"/>
      <c r="D53" s="84"/>
      <c r="E53" s="84"/>
      <c r="F53" s="84"/>
      <c r="G53" s="69"/>
      <c r="H53" s="79"/>
      <c r="I53" s="79"/>
      <c r="J53" s="79"/>
      <c r="K53" s="79"/>
      <c r="L53" s="69"/>
    </row>
    <row r="54" spans="2:12" s="46" customFormat="1" ht="30.75" customHeight="1">
      <c r="B54" s="84" t="s">
        <v>42</v>
      </c>
      <c r="C54" s="84"/>
      <c r="D54" s="84"/>
      <c r="E54" s="84"/>
      <c r="F54" s="84"/>
      <c r="G54" s="69"/>
      <c r="H54" s="79"/>
      <c r="I54" s="79"/>
      <c r="J54" s="79"/>
      <c r="K54" s="79"/>
      <c r="L54" s="69"/>
    </row>
    <row r="55" spans="2:12" s="46" customFormat="1" ht="15.75">
      <c r="B55" s="65" t="s">
        <v>43</v>
      </c>
      <c r="G55" s="69"/>
      <c r="H55" s="79"/>
      <c r="I55" s="79"/>
      <c r="J55" s="79"/>
      <c r="K55" s="79"/>
      <c r="L55" s="69"/>
    </row>
    <row r="56" spans="2:12" s="46" customFormat="1" ht="15.75">
      <c r="B56" s="65" t="s">
        <v>44</v>
      </c>
      <c r="G56" s="69"/>
      <c r="H56" s="79"/>
      <c r="I56" s="79"/>
      <c r="J56" s="79"/>
      <c r="K56" s="79"/>
      <c r="L56" s="69"/>
    </row>
  </sheetData>
  <sheetProtection sheet="1" objects="1" scenarios="1"/>
  <protectedRanges>
    <protectedRange sqref="C10:C13 C4:C5 C17 C17:C18 C21 C22" name="Range1"/>
  </protectedRanges>
  <mergeCells count="5">
    <mergeCell ref="I7:J7"/>
    <mergeCell ref="B54:F54"/>
    <mergeCell ref="B15:F15"/>
    <mergeCell ref="B53:F53"/>
    <mergeCell ref="B9:F9"/>
  </mergeCells>
  <conditionalFormatting sqref="B7">
    <cfRule type="cellIs" dxfId="1" priority="1" operator="equal">
      <formula>"Project may not qualify, discuss further with your SMI representative"</formula>
    </cfRule>
  </conditionalFormatting>
  <conditionalFormatting sqref="B7:B8">
    <cfRule type="cellIs" dxfId="0" priority="4" operator="equal">
      <formula>"This project should qualify for the program"</formula>
    </cfRule>
  </conditionalFormatting>
  <dataValidations count="2">
    <dataValidation type="list" allowBlank="1" showInputMessage="1" showErrorMessage="1" sqref="C4:C6" xr:uid="{95583EEF-C816-4EFB-9688-B0D87AC9DC4F}">
      <formula1>"Yes, No"</formula1>
    </dataValidation>
    <dataValidation type="whole" allowBlank="1" showInputMessage="1" showErrorMessage="1" sqref="C10:C14" xr:uid="{7DC30580-3A90-40DB-9226-27AAAA4AF357}">
      <formula1>0</formula1>
      <formula2>10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32D113BFBC74BA26967B61473E18C" ma:contentTypeVersion="14" ma:contentTypeDescription="Create a new document." ma:contentTypeScope="" ma:versionID="99869a3661216f602f482f0713cca019">
  <xsd:schema xmlns:xsd="http://www.w3.org/2001/XMLSchema" xmlns:xs="http://www.w3.org/2001/XMLSchema" xmlns:p="http://schemas.microsoft.com/office/2006/metadata/properties" xmlns:ns2="5f211d66-90f7-4c79-b3e1-73692c0f69d8" xmlns:ns3="0fb6a248-7652-4a38-8920-b031f717de5e" targetNamespace="http://schemas.microsoft.com/office/2006/metadata/properties" ma:root="true" ma:fieldsID="244dcb4b7620f8aa1c4fa21c5cbf142e" ns2:_="" ns3:_="">
    <xsd:import namespace="5f211d66-90f7-4c79-b3e1-73692c0f69d8"/>
    <xsd:import namespace="0fb6a248-7652-4a38-8920-b031f717d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11d66-90f7-4c79-b3e1-73692c0f6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aefd63b-c5ca-47b2-ac02-4f1fe132d2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6a248-7652-4a38-8920-b031f717de5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d561774-f6a8-4a30-a42b-e08d8e8d9812}" ma:internalName="TaxCatchAll" ma:showField="CatchAllData" ma:web="0fb6a248-7652-4a38-8920-b031f717de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211d66-90f7-4c79-b3e1-73692c0f69d8">
      <Terms xmlns="http://schemas.microsoft.com/office/infopath/2007/PartnerControls"/>
    </lcf76f155ced4ddcb4097134ff3c332f>
    <TaxCatchAll xmlns="0fb6a248-7652-4a38-8920-b031f717de5e" xsi:nil="true"/>
  </documentManagement>
</p:properties>
</file>

<file path=customXml/itemProps1.xml><?xml version="1.0" encoding="utf-8"?>
<ds:datastoreItem xmlns:ds="http://schemas.openxmlformats.org/officeDocument/2006/customXml" ds:itemID="{24B69AC2-C8B9-4FDF-97C8-8FF8979ACB4B}"/>
</file>

<file path=customXml/itemProps2.xml><?xml version="1.0" encoding="utf-8"?>
<ds:datastoreItem xmlns:ds="http://schemas.openxmlformats.org/officeDocument/2006/customXml" ds:itemID="{C14DC45A-AD30-4080-BB14-2BB80F69B0F0}"/>
</file>

<file path=customXml/itemProps3.xml><?xml version="1.0" encoding="utf-8"?>
<ds:datastoreItem xmlns:ds="http://schemas.openxmlformats.org/officeDocument/2006/customXml" ds:itemID="{AAB3B284-4D73-4B41-8C3C-CA5ED504B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Bean</dc:creator>
  <cp:keywords/>
  <dc:description/>
  <cp:lastModifiedBy/>
  <cp:revision/>
  <dcterms:created xsi:type="dcterms:W3CDTF">2023-12-12T02:04:57Z</dcterms:created>
  <dcterms:modified xsi:type="dcterms:W3CDTF">2024-05-01T20:18:36Z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0x0101008AD32D113BFBC74BA26967B61473E18C</vt:lpwstr>
  </property>
  <property fmtid="{D5CDD505-2E9C-101B-9397-08002B2CF9AE}" pid="3" name="MediaServiceImageTags">
    <vt:lpwstr/>
  </property>
</Properties>
</file>